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5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6" i="1"/>
  <c r="F15"/>
  <c r="F9"/>
  <c r="O24" s="1"/>
  <c r="O23"/>
  <c r="O19"/>
  <c r="Q19" s="1"/>
  <c r="P9"/>
  <c r="Q9" s="1"/>
  <c r="P7"/>
  <c r="Q7" s="1"/>
  <c r="O6"/>
  <c r="P6" s="1"/>
  <c r="Q6" s="1"/>
  <c r="F13"/>
  <c r="E14" s="1"/>
  <c r="F11"/>
  <c r="O17"/>
  <c r="Q17" s="1"/>
  <c r="Q18"/>
  <c r="P8" l="1"/>
  <c r="Q8" s="1"/>
  <c r="Q20"/>
  <c r="P12"/>
  <c r="Q12" s="1"/>
  <c r="P11"/>
  <c r="Q11" s="1"/>
  <c r="P10"/>
  <c r="Q10" s="1"/>
  <c r="P13"/>
  <c r="Q13" s="1"/>
  <c r="Q14" l="1"/>
  <c r="Q21" s="1"/>
  <c r="P14"/>
  <c r="Q22" l="1"/>
  <c r="Q23" s="1"/>
  <c r="Q24" s="1"/>
  <c r="Q25" l="1"/>
  <c r="F10" s="1"/>
  <c r="G27" l="1"/>
  <c r="I21"/>
  <c r="I23"/>
  <c r="E25"/>
  <c r="J22"/>
  <c r="J24"/>
  <c r="J26"/>
  <c r="I27"/>
  <c r="H22"/>
  <c r="H24"/>
  <c r="H26"/>
  <c r="G21"/>
  <c r="G23"/>
  <c r="G25"/>
  <c r="E24"/>
  <c r="I26"/>
  <c r="E23"/>
  <c r="F22"/>
  <c r="F24"/>
  <c r="F26"/>
  <c r="E27"/>
  <c r="D22"/>
  <c r="D24"/>
  <c r="D26"/>
  <c r="C21"/>
  <c r="C23"/>
  <c r="C25"/>
  <c r="C27"/>
  <c r="E26"/>
  <c r="I24"/>
  <c r="E21"/>
  <c r="J21"/>
  <c r="J23"/>
  <c r="J25"/>
  <c r="J27"/>
  <c r="H21"/>
  <c r="H23"/>
  <c r="H25"/>
  <c r="H27"/>
  <c r="G22"/>
  <c r="G24"/>
  <c r="G26"/>
  <c r="E22"/>
  <c r="I22"/>
  <c r="I25"/>
  <c r="F21"/>
  <c r="F23"/>
  <c r="F25"/>
  <c r="F27"/>
  <c r="D21"/>
  <c r="D23"/>
  <c r="D25"/>
  <c r="D27"/>
  <c r="C22"/>
  <c r="C24"/>
  <c r="C26"/>
</calcChain>
</file>

<file path=xl/sharedStrings.xml><?xml version="1.0" encoding="utf-8"?>
<sst xmlns="http://schemas.openxmlformats.org/spreadsheetml/2006/main" count="84" uniqueCount="72">
  <si>
    <t>نرخ ساعت پايه خدمات نرم افزاري</t>
  </si>
  <si>
    <t>کارشناس تضمين کيفيت، طراح آزمون، کارشناس پيکربندي</t>
  </si>
  <si>
    <t>تحليلگر ارشد، کارشناس امنيت نرم افزار</t>
  </si>
  <si>
    <t>مدير پروژه، معمار نرم افزار، مديرمحصول</t>
  </si>
  <si>
    <t>ضريب بهاي تمام شده</t>
  </si>
  <si>
    <t>ضريب منطقه جغرافيائي</t>
  </si>
  <si>
    <t>ضريب مدرک تحصيلي با سابقه 3 سال</t>
  </si>
  <si>
    <t>سابقه کار</t>
  </si>
  <si>
    <t>ديپلم: 0.6، فوق ديپلم: 0.8، کارشناسي: 1، کارشناسي ارشد: 1.5 و دکترا ضريب 2</t>
  </si>
  <si>
    <t>سالانه</t>
  </si>
  <si>
    <t>ماهانه</t>
  </si>
  <si>
    <t>روزانه</t>
  </si>
  <si>
    <t>پارامترها</t>
  </si>
  <si>
    <t>مبلغ ثابت</t>
  </si>
  <si>
    <t>خواروبار و مسکن</t>
  </si>
  <si>
    <t>حقوق</t>
  </si>
  <si>
    <t>معادل 3 روز حقوق</t>
  </si>
  <si>
    <t>حق عائله مندي (ميانگين داراي يک فرزند)</t>
  </si>
  <si>
    <t>بن کارگري</t>
  </si>
  <si>
    <t>بیمه سهم کارفرما</t>
  </si>
  <si>
    <t>20% ماهانه</t>
  </si>
  <si>
    <t>3% ماهانه</t>
  </si>
  <si>
    <t>بیمه بیکاري</t>
  </si>
  <si>
    <t>دو دوازدهم</t>
  </si>
  <si>
    <t>عيدي و پاداش</t>
  </si>
  <si>
    <t>سنوات خدمت</t>
  </si>
  <si>
    <t>يک دوازدهم</t>
  </si>
  <si>
    <t>حداقل هزينه پرسنل</t>
  </si>
  <si>
    <t>کسرمرخصي استحقاقي (روز * 7:20)</t>
  </si>
  <si>
    <t>تعداد روز تعطيل درسال (روز * 7:20)</t>
  </si>
  <si>
    <t>جمع ساعت خالص کار در طول سال</t>
  </si>
  <si>
    <t>هزينه پايه دستمزد يکساعت</t>
  </si>
  <si>
    <t>رند شده دستمزد به ازاي هر ساعت</t>
  </si>
  <si>
    <t>روز کاري</t>
  </si>
  <si>
    <t>ساعتکار روزانه</t>
  </si>
  <si>
    <t>جمع</t>
  </si>
  <si>
    <t>ضريب وقت مفيد</t>
  </si>
  <si>
    <t>ضريب بالاسري ( 1 + 0.62 + 0.33 )</t>
  </si>
  <si>
    <t>تهران</t>
  </si>
  <si>
    <t>کلان شهر</t>
  </si>
  <si>
    <t>مرکز استان</t>
  </si>
  <si>
    <t>شهرستان</t>
  </si>
  <si>
    <t>ديپلم</t>
  </si>
  <si>
    <t>فوق ديپلم</t>
  </si>
  <si>
    <t>کارشناسي</t>
  </si>
  <si>
    <t>کارشناسي ارشد</t>
  </si>
  <si>
    <t>دکتري</t>
  </si>
  <si>
    <t>جمع ساعت کار در سال
(365 منهاي 52 جمعه)</t>
  </si>
  <si>
    <t>حقوق روزانه</t>
  </si>
  <si>
    <t>خواربار و مسکن</t>
  </si>
  <si>
    <t>تهران: 1.5، کلان شهرها (مشهد، اصفهان، شيراز، تبريز): 1، مراکز استان: 0.75، شهرستان : 0.5</t>
  </si>
  <si>
    <t>تعداد روز تعطيل در سال</t>
  </si>
  <si>
    <t>محاسباتي :</t>
  </si>
  <si>
    <t>هر 2 سال سابقه کمتر يا بيشتر از 3 سال تا سقف 13 سال 0.1 از ضريب مدرک کم يا زياد ميکند</t>
  </si>
  <si>
    <t>در محل</t>
  </si>
  <si>
    <t>شرکت</t>
  </si>
  <si>
    <t>مشتري</t>
  </si>
  <si>
    <t>کارشناس پشتيباني و نصب</t>
  </si>
  <si>
    <t>کارشناس فرايند، استقرار و راه اندازي</t>
  </si>
  <si>
    <t>کارشناس کنترل پروژه، مستندساز</t>
  </si>
  <si>
    <t>برنامه نويس، تحليلگر، طراح، مدير پايگاه داده، طراح پايگاه داده، آموزش تخصصي</t>
  </si>
  <si>
    <t>آزمون گر، آموزش دهنده عمومي، توليد راهنما، گرافيست</t>
  </si>
  <si>
    <t>ساعات کاري</t>
  </si>
  <si>
    <t>ساعت کاري</t>
  </si>
  <si>
    <t>ساعت اداري</t>
  </si>
  <si>
    <t>خارج از ساعت اداري</t>
  </si>
  <si>
    <r>
      <t xml:space="preserve">رتبه شورا </t>
    </r>
    <r>
      <rPr>
        <b/>
        <sz val="8"/>
        <color theme="1"/>
        <rFont val="Calibri"/>
        <family val="2"/>
      </rPr>
      <t>↓</t>
    </r>
  </si>
  <si>
    <r>
      <t xml:space="preserve">                         ضريب هر شغل </t>
    </r>
    <r>
      <rPr>
        <b/>
        <sz val="9"/>
        <rFont val="Calibri"/>
        <family val="2"/>
      </rPr>
      <t>↑</t>
    </r>
  </si>
  <si>
    <t>هزینه ها (ریال) - صرفا موارد آبي نگ هر سال به روز رساني شود</t>
  </si>
  <si>
    <t>پارامترهاي آبي رنگ توسط سازمان نظام صنفي و بصورت سالانه به روز رساني ميشود.</t>
  </si>
  <si>
    <t>تعرفه خدمات نرم افزاری (نفر ساعت - ريال) به ازاي انواع تخصص</t>
  </si>
  <si>
    <t>صرفا پارامترهاي زرد رنگ را جهت تعيين نرخ دستمزد هر نفر ساعت انواع کارشناسان تغيير دهيد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</si>
</sst>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0" tint="-0.249977111117893"/>
      <name val="B Nazanin"/>
      <charset val="178"/>
    </font>
    <font>
      <b/>
      <sz val="8"/>
      <color theme="1"/>
      <name val="B Nazanin"/>
      <charset val="178"/>
    </font>
    <font>
      <b/>
      <sz val="9"/>
      <name val="B Nazanin"/>
      <charset val="178"/>
    </font>
    <font>
      <b/>
      <sz val="8"/>
      <color theme="1"/>
      <name val="Calibri"/>
      <family val="2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4506668294322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4506668294322"/>
      </top>
      <bottom style="medium">
        <color theme="3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3" fillId="0" borderId="1" xfId="0" applyNumberFormat="1" applyFont="1" applyFill="1" applyBorder="1" applyAlignment="1">
      <alignment horizontal="center" wrapText="1" readingOrder="2"/>
    </xf>
    <xf numFmtId="0" fontId="3" fillId="0" borderId="6" xfId="0" applyFont="1" applyFill="1" applyBorder="1" applyAlignment="1">
      <alignment horizont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3" fillId="0" borderId="10" xfId="0" applyFont="1" applyFill="1" applyBorder="1" applyAlignment="1">
      <alignment horizontal="center" wrapText="1" readingOrder="2"/>
    </xf>
    <xf numFmtId="3" fontId="2" fillId="2" borderId="2" xfId="0" applyNumberFormat="1" applyFont="1" applyFill="1" applyBorder="1" applyAlignment="1">
      <alignment horizontal="right" vertical="center" readingOrder="2"/>
    </xf>
    <xf numFmtId="0" fontId="2" fillId="2" borderId="2" xfId="0" applyFont="1" applyFill="1" applyBorder="1" applyAlignment="1">
      <alignment horizontal="right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0" borderId="0" xfId="0" applyFont="1" applyFill="1" applyBorder="1" applyAlignment="1">
      <alignment horizontal="right" vertical="center" readingOrder="2"/>
    </xf>
    <xf numFmtId="3" fontId="2" fillId="0" borderId="11" xfId="0" applyNumberFormat="1" applyFont="1" applyFill="1" applyBorder="1" applyAlignment="1">
      <alignment horizontal="right" vertical="center" readingOrder="2"/>
    </xf>
    <xf numFmtId="3" fontId="2" fillId="0" borderId="0" xfId="0" applyNumberFormat="1" applyFont="1" applyFill="1" applyBorder="1" applyAlignment="1">
      <alignment horizontal="right" vertical="center" readingOrder="2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3" fontId="4" fillId="2" borderId="2" xfId="0" applyNumberFormat="1" applyFont="1" applyFill="1" applyBorder="1"/>
    <xf numFmtId="3" fontId="2" fillId="2" borderId="2" xfId="0" applyNumberFormat="1" applyFont="1" applyFill="1" applyBorder="1" applyAlignment="1">
      <alignment horizontal="center" vertical="center" readingOrder="2"/>
    </xf>
    <xf numFmtId="3" fontId="2" fillId="2" borderId="2" xfId="0" applyNumberFormat="1" applyFont="1" applyFill="1" applyBorder="1" applyAlignment="1">
      <alignment horizontal="center" vertical="center" wrapText="1" readingOrder="2"/>
    </xf>
    <xf numFmtId="0" fontId="2" fillId="4" borderId="2" xfId="0" applyFont="1" applyFill="1" applyBorder="1" applyAlignment="1">
      <alignment horizontal="center" vertical="center" wrapText="1" readingOrder="2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 readingOrder="2"/>
    </xf>
    <xf numFmtId="9" fontId="4" fillId="2" borderId="2" xfId="0" applyNumberFormat="1" applyFont="1" applyFill="1" applyBorder="1"/>
    <xf numFmtId="4" fontId="4" fillId="2" borderId="2" xfId="0" applyNumberFormat="1" applyFont="1" applyFill="1" applyBorder="1"/>
    <xf numFmtId="0" fontId="5" fillId="2" borderId="2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2" fillId="2" borderId="5" xfId="0" applyFont="1" applyFill="1" applyBorder="1" applyAlignment="1">
      <alignment horizontal="center" vertical="center" readingOrder="2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6" fillId="2" borderId="1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7" xfId="0" applyFont="1" applyFill="1" applyBorder="1" applyAlignment="1">
      <alignment horizontal="center" vertical="center" wrapText="1" readingOrder="2"/>
    </xf>
    <xf numFmtId="0" fontId="7" fillId="2" borderId="12" xfId="0" applyFont="1" applyFill="1" applyBorder="1" applyAlignment="1">
      <alignment horizontal="center" vertical="center" textRotation="90" wrapText="1" readingOrder="2"/>
    </xf>
    <xf numFmtId="0" fontId="1" fillId="6" borderId="1" xfId="0" applyFont="1" applyFill="1" applyBorder="1" applyAlignment="1">
      <alignment horizontal="center" vertical="top" wrapText="1" readingOrder="2"/>
    </xf>
    <xf numFmtId="3" fontId="2" fillId="5" borderId="2" xfId="0" applyNumberFormat="1" applyFont="1" applyFill="1" applyBorder="1" applyAlignment="1">
      <alignment horizontal="center" vertical="center" wrapText="1" readingOrder="2"/>
    </xf>
    <xf numFmtId="9" fontId="2" fillId="5" borderId="2" xfId="0" applyNumberFormat="1" applyFont="1" applyFill="1" applyBorder="1" applyAlignment="1">
      <alignment horizontal="center" vertical="center" wrapText="1" readingOrder="2"/>
    </xf>
    <xf numFmtId="4" fontId="2" fillId="5" borderId="2" xfId="0" applyNumberFormat="1" applyFont="1" applyFill="1" applyBorder="1" applyAlignment="1">
      <alignment horizontal="center" vertical="center" wrapText="1" readingOrder="2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/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/>
        <top style="medium">
          <color theme="3" tint="0.39997558519241921"/>
        </top>
        <bottom style="medium">
          <color theme="3" tint="0.39997558519241921"/>
        </bottom>
      </border>
    </dxf>
    <dxf>
      <border outline="0">
        <left style="medium">
          <color theme="3" tint="0.39997558519241921"/>
        </left>
        <right style="medium">
          <color theme="3" tint="0.39997558519241921"/>
        </right>
        <top style="medium">
          <color theme="3" tint="0.39997558519241921"/>
        </top>
        <bottom style="medium">
          <color theme="3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Nazani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relativeIndent="0" justifyLastLine="0" shrinkToFit="0" mergeCell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B Nazanin"/>
        <scheme val="none"/>
      </font>
      <alignment horizontal="center" vertical="center" textRotation="0" wrapText="1" indent="0" relativeIndent="0" justifyLastLine="0" shrinkToFit="0" mergeCell="0" readingOrder="2"/>
      <border diagonalUp="0" diagonalDown="0" outline="0">
        <left style="medium">
          <color theme="3" tint="0.39997558519241921"/>
        </left>
        <right style="medium">
          <color theme="3" tint="0.39997558519241921"/>
        </right>
        <top/>
        <bottom/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B19:J27" totalsRowShown="0" headerRowDxfId="11" dataDxfId="10" tableBorderDxfId="9">
  <tableColumns count="9">
    <tableColumn id="1" name="                         ضريب هر شغل ↑" dataDxfId="8"/>
    <tableColumn id="2" name="کارشناس پشتيباني و نصب" dataDxfId="7">
      <calculatedColumnFormula>ROUND(($F$10*$F$11*C$20*$E$14*(1+1/(1+$B20))*$F$12)/1000,0)*1000</calculatedColumnFormula>
    </tableColumn>
    <tableColumn id="3" name="کارشناس کنترل پروژه، مستندساز" dataDxfId="6">
      <calculatedColumnFormula>ROUND(($F$10*$F$11*D$20*$E$14*(1+1/(1+$B20))*$F$12)/1000,0)*1000</calculatedColumnFormula>
    </tableColumn>
    <tableColumn id="4" name="آزمون گر، آموزش دهنده عمومي، توليد راهنما، گرافيست" dataDxfId="5">
      <calculatedColumnFormula>ROUND(($F$10*$F$11*E$20*$E$14*(1+1/(1+$B20))*$F$12)/1000,0)*1000</calculatedColumnFormula>
    </tableColumn>
    <tableColumn id="5" name="کارشناس تضمين کيفيت، طراح آزمون، کارشناس پيکربندي" dataDxfId="4">
      <calculatedColumnFormula>ROUND(($F$10*$F$11*F$20*$E$14*(1+1/(1+$B20))*$F$12)/1000,0)*1000</calculatedColumnFormula>
    </tableColumn>
    <tableColumn id="6" name="کارشناس فرايند، استقرار و راه اندازي" dataDxfId="3">
      <calculatedColumnFormula>ROUND(($F$10*$F$11*G$20*$E$14*(1+1/(1+$B20))*$F$12)/1000,0)*1000</calculatedColumnFormula>
    </tableColumn>
    <tableColumn id="7" name="برنامه نويس، تحليلگر، طراح، مدير پايگاه داده، طراح پايگاه داده، آموزش تخصصي" dataDxfId="2">
      <calculatedColumnFormula>ROUND(($F$10*$F$11*H$20*$E$14*(1+1/(1+$B20))*$F$12)/1000,0)*1000</calculatedColumnFormula>
    </tableColumn>
    <tableColumn id="8" name="تحليلگر ارشد، کارشناس امنيت نرم افزار" dataDxfId="1">
      <calculatedColumnFormula>ROUND(($F$10*$F$11*I$20*$E$14*(1+1/(1+$B20))*$F$12)/1000,0)*1000</calculatedColumnFormula>
    </tableColumn>
    <tableColumn id="9" name="مدير پروژه، معمار نرم افزار، مديرمحصول" dataDxfId="0">
      <calculatedColumnFormula>ROUND(($F$10*$F$11*J$20*$E$14*(1+1/(1+$B20))*$F$12)/1000,0)*1000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27"/>
  <sheetViews>
    <sheetView rightToLeft="1" tabSelected="1" zoomScale="90" zoomScaleNormal="90" workbookViewId="0"/>
  </sheetViews>
  <sheetFormatPr defaultRowHeight="14.25"/>
  <cols>
    <col min="1" max="1" width="2.5" customWidth="1"/>
    <col min="2" max="10" width="8.25" customWidth="1"/>
    <col min="14" max="14" width="23.25" bestFit="1" customWidth="1"/>
    <col min="15" max="15" width="10.625" bestFit="1" customWidth="1"/>
    <col min="22" max="22" width="11.625" bestFit="1" customWidth="1"/>
  </cols>
  <sheetData>
    <row r="2" spans="2:23" ht="18">
      <c r="B2" s="43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2:23" ht="18">
      <c r="B3" s="44" t="s">
        <v>71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23" ht="15">
      <c r="B4" s="28" t="s">
        <v>48</v>
      </c>
      <c r="C4" s="29"/>
      <c r="D4" s="30"/>
      <c r="E4" s="7"/>
      <c r="F4" s="40">
        <v>129900</v>
      </c>
      <c r="G4" s="33"/>
      <c r="H4" s="33"/>
      <c r="I4" s="33"/>
      <c r="J4" s="33"/>
      <c r="K4" s="33"/>
      <c r="L4" s="33"/>
      <c r="N4" s="34" t="s">
        <v>68</v>
      </c>
      <c r="O4" s="34"/>
      <c r="P4" s="34"/>
      <c r="Q4" s="34"/>
    </row>
    <row r="5" spans="2:23" ht="15">
      <c r="B5" s="28" t="s">
        <v>49</v>
      </c>
      <c r="C5" s="29"/>
      <c r="D5" s="30"/>
      <c r="E5" s="7" t="s">
        <v>13</v>
      </c>
      <c r="F5" s="40">
        <v>100800</v>
      </c>
      <c r="G5" s="33"/>
      <c r="H5" s="33"/>
      <c r="I5" s="33"/>
      <c r="J5" s="33"/>
      <c r="K5" s="33"/>
      <c r="L5" s="33"/>
      <c r="N5" s="8" t="s">
        <v>12</v>
      </c>
      <c r="O5" s="8" t="s">
        <v>11</v>
      </c>
      <c r="P5" s="8" t="s">
        <v>10</v>
      </c>
      <c r="Q5" s="8" t="s">
        <v>9</v>
      </c>
      <c r="S5" s="7" t="s">
        <v>38</v>
      </c>
      <c r="T5" s="7">
        <v>1.5</v>
      </c>
      <c r="V5" s="7" t="s">
        <v>54</v>
      </c>
    </row>
    <row r="6" spans="2:23" ht="15">
      <c r="B6" s="28" t="s">
        <v>18</v>
      </c>
      <c r="C6" s="29"/>
      <c r="D6" s="30"/>
      <c r="E6" s="7" t="s">
        <v>13</v>
      </c>
      <c r="F6" s="40">
        <v>350000</v>
      </c>
      <c r="G6" s="33"/>
      <c r="H6" s="33"/>
      <c r="I6" s="33"/>
      <c r="J6" s="33"/>
      <c r="K6" s="33"/>
      <c r="L6" s="33"/>
      <c r="N6" s="7" t="s">
        <v>15</v>
      </c>
      <c r="O6" s="6">
        <f>$F$4</f>
        <v>129900</v>
      </c>
      <c r="P6" s="6">
        <f>O6*30</f>
        <v>3897000</v>
      </c>
      <c r="Q6" s="6">
        <f t="shared" ref="Q6:Q13" si="0">P6*12</f>
        <v>46764000</v>
      </c>
      <c r="S6" s="7" t="s">
        <v>39</v>
      </c>
      <c r="T6" s="7">
        <v>1</v>
      </c>
      <c r="V6" s="7" t="s">
        <v>55</v>
      </c>
      <c r="W6" s="7">
        <v>1</v>
      </c>
    </row>
    <row r="7" spans="2:23" ht="15">
      <c r="B7" s="28" t="s">
        <v>51</v>
      </c>
      <c r="C7" s="29"/>
      <c r="D7" s="30"/>
      <c r="E7" s="7"/>
      <c r="F7" s="40">
        <v>22</v>
      </c>
      <c r="G7" s="33"/>
      <c r="H7" s="33"/>
      <c r="I7" s="33"/>
      <c r="J7" s="33"/>
      <c r="K7" s="33"/>
      <c r="L7" s="33"/>
      <c r="N7" s="7" t="s">
        <v>14</v>
      </c>
      <c r="O7" s="6" t="s">
        <v>13</v>
      </c>
      <c r="P7" s="6">
        <f>$F$5</f>
        <v>100800</v>
      </c>
      <c r="Q7" s="6">
        <f t="shared" si="0"/>
        <v>1209600</v>
      </c>
      <c r="S7" s="7" t="s">
        <v>40</v>
      </c>
      <c r="T7" s="7">
        <v>0.75</v>
      </c>
      <c r="V7" s="7" t="s">
        <v>56</v>
      </c>
      <c r="W7" s="7">
        <v>1.2</v>
      </c>
    </row>
    <row r="8" spans="2:23" ht="15">
      <c r="B8" s="28" t="s">
        <v>36</v>
      </c>
      <c r="C8" s="29"/>
      <c r="D8" s="30"/>
      <c r="E8" s="7"/>
      <c r="F8" s="41">
        <v>0.8</v>
      </c>
      <c r="G8" s="33"/>
      <c r="H8" s="33"/>
      <c r="I8" s="33"/>
      <c r="J8" s="33"/>
      <c r="K8" s="33"/>
      <c r="L8" s="33"/>
      <c r="N8" s="7" t="s">
        <v>17</v>
      </c>
      <c r="O8" s="6" t="s">
        <v>16</v>
      </c>
      <c r="P8" s="6">
        <f>O6*3</f>
        <v>389700</v>
      </c>
      <c r="Q8" s="6">
        <f t="shared" si="0"/>
        <v>4676400</v>
      </c>
      <c r="S8" s="7" t="s">
        <v>41</v>
      </c>
      <c r="T8" s="7">
        <v>0.5</v>
      </c>
    </row>
    <row r="9" spans="2:23" ht="15">
      <c r="B9" s="28" t="s">
        <v>37</v>
      </c>
      <c r="C9" s="29"/>
      <c r="D9" s="30"/>
      <c r="E9" s="7"/>
      <c r="F9" s="42">
        <f>1+0.62+0.33</f>
        <v>1.9500000000000002</v>
      </c>
      <c r="G9" s="33"/>
      <c r="H9" s="33"/>
      <c r="I9" s="33"/>
      <c r="J9" s="33"/>
      <c r="K9" s="33"/>
      <c r="L9" s="33"/>
      <c r="N9" s="7" t="s">
        <v>18</v>
      </c>
      <c r="O9" s="6" t="s">
        <v>13</v>
      </c>
      <c r="P9" s="6">
        <f>$F$6</f>
        <v>350000</v>
      </c>
      <c r="Q9" s="6">
        <f t="shared" si="0"/>
        <v>4200000</v>
      </c>
      <c r="V9" s="7" t="s">
        <v>63</v>
      </c>
    </row>
    <row r="10" spans="2:23" ht="15">
      <c r="B10" s="28" t="s">
        <v>0</v>
      </c>
      <c r="C10" s="29"/>
      <c r="D10" s="30"/>
      <c r="E10" s="7" t="s">
        <v>52</v>
      </c>
      <c r="F10" s="16">
        <f>$Q$25</f>
        <v>100000</v>
      </c>
      <c r="G10" s="31"/>
      <c r="H10" s="31"/>
      <c r="I10" s="31"/>
      <c r="J10" s="31"/>
      <c r="K10" s="31"/>
      <c r="L10" s="31"/>
      <c r="N10" s="7" t="s">
        <v>19</v>
      </c>
      <c r="O10" s="6" t="s">
        <v>20</v>
      </c>
      <c r="P10" s="6">
        <f>P6*20%</f>
        <v>779400</v>
      </c>
      <c r="Q10" s="6">
        <f t="shared" si="0"/>
        <v>9352800</v>
      </c>
      <c r="V10" s="7" t="s">
        <v>64</v>
      </c>
      <c r="W10" s="7">
        <v>1</v>
      </c>
    </row>
    <row r="11" spans="2:23" ht="15">
      <c r="B11" s="28" t="s">
        <v>5</v>
      </c>
      <c r="C11" s="29"/>
      <c r="D11" s="30"/>
      <c r="E11" s="23" t="s">
        <v>38</v>
      </c>
      <c r="F11" s="19">
        <f>VLOOKUP(E11,$S$5:$T$8,2,FALSE)</f>
        <v>1.5</v>
      </c>
      <c r="G11" s="32" t="s">
        <v>50</v>
      </c>
      <c r="H11" s="32"/>
      <c r="I11" s="32"/>
      <c r="J11" s="32"/>
      <c r="K11" s="32"/>
      <c r="L11" s="32"/>
      <c r="N11" s="7" t="s">
        <v>22</v>
      </c>
      <c r="O11" s="6" t="s">
        <v>21</v>
      </c>
      <c r="P11" s="6">
        <f>P6*3%</f>
        <v>116910</v>
      </c>
      <c r="Q11" s="6">
        <f t="shared" si="0"/>
        <v>1402920</v>
      </c>
      <c r="V11" s="7" t="s">
        <v>65</v>
      </c>
      <c r="W11" s="7">
        <v>1.4</v>
      </c>
    </row>
    <row r="12" spans="2:23" ht="15">
      <c r="B12" s="28" t="s">
        <v>4</v>
      </c>
      <c r="C12" s="29"/>
      <c r="D12" s="30"/>
      <c r="E12" s="18"/>
      <c r="F12" s="17">
        <v>1.33</v>
      </c>
      <c r="G12" s="33"/>
      <c r="H12" s="33"/>
      <c r="I12" s="33"/>
      <c r="J12" s="33"/>
      <c r="K12" s="33"/>
      <c r="L12" s="33"/>
      <c r="N12" s="7" t="s">
        <v>24</v>
      </c>
      <c r="O12" s="6" t="s">
        <v>23</v>
      </c>
      <c r="P12" s="6">
        <f>P6/6</f>
        <v>649500</v>
      </c>
      <c r="Q12" s="6">
        <f t="shared" si="0"/>
        <v>7794000</v>
      </c>
      <c r="S12" s="7" t="s">
        <v>42</v>
      </c>
      <c r="T12" s="7">
        <v>0.6</v>
      </c>
    </row>
    <row r="13" spans="2:23" ht="15">
      <c r="B13" s="28" t="s">
        <v>6</v>
      </c>
      <c r="C13" s="29"/>
      <c r="D13" s="30"/>
      <c r="E13" s="23" t="s">
        <v>44</v>
      </c>
      <c r="F13" s="19">
        <f>VLOOKUP(E13,$S$12:$T$16,2,FALSE)</f>
        <v>1</v>
      </c>
      <c r="G13" s="33" t="s">
        <v>8</v>
      </c>
      <c r="H13" s="33"/>
      <c r="I13" s="33"/>
      <c r="J13" s="33"/>
      <c r="K13" s="33"/>
      <c r="L13" s="33"/>
      <c r="N13" s="7" t="s">
        <v>25</v>
      </c>
      <c r="O13" s="6" t="s">
        <v>26</v>
      </c>
      <c r="P13" s="6">
        <f>P6/12</f>
        <v>324750</v>
      </c>
      <c r="Q13" s="6">
        <f t="shared" si="0"/>
        <v>3897000</v>
      </c>
      <c r="S13" s="7" t="s">
        <v>43</v>
      </c>
      <c r="T13" s="7">
        <v>0.8</v>
      </c>
    </row>
    <row r="14" spans="2:23" ht="15">
      <c r="B14" s="28" t="s">
        <v>7</v>
      </c>
      <c r="C14" s="29"/>
      <c r="D14" s="30"/>
      <c r="E14" s="26">
        <f>F13+MIN(((F14-3)/20),0.5)</f>
        <v>1</v>
      </c>
      <c r="F14" s="17">
        <v>3</v>
      </c>
      <c r="G14" s="33" t="s">
        <v>53</v>
      </c>
      <c r="H14" s="33"/>
      <c r="I14" s="33"/>
      <c r="J14" s="33"/>
      <c r="K14" s="33"/>
      <c r="L14" s="33"/>
      <c r="N14" s="7" t="s">
        <v>27</v>
      </c>
      <c r="O14" s="6"/>
      <c r="P14" s="6">
        <f>SUM(P6:P13)</f>
        <v>6608060</v>
      </c>
      <c r="Q14" s="6">
        <f>SUM(Q6:Q13)</f>
        <v>79296720</v>
      </c>
      <c r="S14" s="7" t="s">
        <v>44</v>
      </c>
      <c r="T14" s="7">
        <v>1</v>
      </c>
    </row>
    <row r="15" spans="2:23" ht="15">
      <c r="B15" s="28" t="s">
        <v>54</v>
      </c>
      <c r="C15" s="29"/>
      <c r="D15" s="30"/>
      <c r="E15" s="23" t="s">
        <v>55</v>
      </c>
      <c r="F15" s="27">
        <f>VLOOKUP(E15,$V$6:$W$7,2,FALSE)</f>
        <v>1</v>
      </c>
      <c r="G15" s="33"/>
      <c r="H15" s="33"/>
      <c r="I15" s="33"/>
      <c r="J15" s="33"/>
      <c r="K15" s="33"/>
      <c r="L15" s="33"/>
      <c r="N15" s="9"/>
      <c r="O15" s="10"/>
      <c r="P15" s="11"/>
      <c r="Q15" s="11"/>
      <c r="S15" s="7" t="s">
        <v>45</v>
      </c>
      <c r="T15" s="7">
        <v>1.5</v>
      </c>
    </row>
    <row r="16" spans="2:23" ht="18">
      <c r="B16" s="28" t="s">
        <v>62</v>
      </c>
      <c r="C16" s="29"/>
      <c r="D16" s="30"/>
      <c r="E16" s="23" t="s">
        <v>64</v>
      </c>
      <c r="F16" s="27">
        <f>VLOOKUP(E16,$V$10:$W$11,2,FALSE)</f>
        <v>1</v>
      </c>
      <c r="G16" s="33"/>
      <c r="H16" s="33"/>
      <c r="I16" s="33"/>
      <c r="J16" s="33"/>
      <c r="K16" s="33"/>
      <c r="L16" s="33"/>
      <c r="N16" s="12"/>
      <c r="O16" s="15" t="s">
        <v>33</v>
      </c>
      <c r="P16" s="12" t="s">
        <v>34</v>
      </c>
      <c r="Q16" s="13" t="s">
        <v>35</v>
      </c>
      <c r="S16" s="7" t="s">
        <v>46</v>
      </c>
      <c r="T16" s="7">
        <v>2</v>
      </c>
    </row>
    <row r="17" spans="2:17" ht="30.75" thickBot="1">
      <c r="N17" s="20" t="s">
        <v>47</v>
      </c>
      <c r="O17" s="21">
        <f>365-52</f>
        <v>313</v>
      </c>
      <c r="P17" s="21">
        <v>7.33</v>
      </c>
      <c r="Q17" s="22">
        <f>P17*O17</f>
        <v>2294.29</v>
      </c>
    </row>
    <row r="18" spans="2:17" ht="21.75" thickBot="1">
      <c r="B18" s="39" t="s">
        <v>70</v>
      </c>
      <c r="C18" s="39"/>
      <c r="D18" s="39"/>
      <c r="E18" s="39"/>
      <c r="F18" s="39"/>
      <c r="G18" s="39"/>
      <c r="H18" s="39"/>
      <c r="I18" s="39"/>
      <c r="J18" s="39"/>
      <c r="N18" s="7" t="s">
        <v>28</v>
      </c>
      <c r="O18" s="12">
        <v>26</v>
      </c>
      <c r="P18" s="12">
        <v>7.33</v>
      </c>
      <c r="Q18" s="12">
        <f>ROUND(P18*O18,0)</f>
        <v>191</v>
      </c>
    </row>
    <row r="19" spans="2:17" ht="105.75" thickBot="1">
      <c r="B19" s="38" t="s">
        <v>67</v>
      </c>
      <c r="C19" s="3" t="s">
        <v>57</v>
      </c>
      <c r="D19" s="3" t="s">
        <v>59</v>
      </c>
      <c r="E19" s="3" t="s">
        <v>61</v>
      </c>
      <c r="F19" s="3" t="s">
        <v>1</v>
      </c>
      <c r="G19" s="3" t="s">
        <v>58</v>
      </c>
      <c r="H19" s="3" t="s">
        <v>60</v>
      </c>
      <c r="I19" s="3" t="s">
        <v>2</v>
      </c>
      <c r="J19" s="4" t="s">
        <v>3</v>
      </c>
      <c r="N19" s="7" t="s">
        <v>29</v>
      </c>
      <c r="O19" s="14">
        <f>$F$7</f>
        <v>22</v>
      </c>
      <c r="P19" s="12">
        <v>7.33</v>
      </c>
      <c r="Q19" s="12">
        <f>ROUND(P19*O19,0)</f>
        <v>161</v>
      </c>
    </row>
    <row r="20" spans="2:17" ht="18.75" thickBot="1">
      <c r="B20" s="35" t="s">
        <v>66</v>
      </c>
      <c r="C20" s="36">
        <v>1.3</v>
      </c>
      <c r="D20" s="36">
        <v>1.5</v>
      </c>
      <c r="E20" s="36">
        <v>1.8</v>
      </c>
      <c r="F20" s="36">
        <v>2</v>
      </c>
      <c r="G20" s="36">
        <v>2.2999999999999998</v>
      </c>
      <c r="H20" s="36">
        <v>2.8</v>
      </c>
      <c r="I20" s="36">
        <v>3.5</v>
      </c>
      <c r="J20" s="37">
        <v>4</v>
      </c>
      <c r="N20" s="28" t="s">
        <v>30</v>
      </c>
      <c r="O20" s="29"/>
      <c r="P20" s="30"/>
      <c r="Q20" s="14">
        <f>Q17-(Q18+Q19)</f>
        <v>1942.29</v>
      </c>
    </row>
    <row r="21" spans="2:17" ht="18.75" thickBot="1">
      <c r="B21" s="2">
        <v>1</v>
      </c>
      <c r="C21" s="1">
        <f>ROUND(($F$10*$F$11*C$20*$E$14*$F$15*$F$16*(1+1/(1+$B21))*$F$12)/1000,0)*1000</f>
        <v>389000</v>
      </c>
      <c r="D21" s="1">
        <f t="shared" ref="D21:J27" si="1">ROUND(($F$10*$F$11*D$20*$E$14*$F$15*$F$16*(1+1/(1+$B21))*$F$12)/1000,0)*1000</f>
        <v>449000</v>
      </c>
      <c r="E21" s="1">
        <f t="shared" si="1"/>
        <v>539000</v>
      </c>
      <c r="F21" s="1">
        <f t="shared" si="1"/>
        <v>599000</v>
      </c>
      <c r="G21" s="1">
        <f t="shared" si="1"/>
        <v>688000</v>
      </c>
      <c r="H21" s="1">
        <f t="shared" si="1"/>
        <v>838000</v>
      </c>
      <c r="I21" s="1">
        <f t="shared" si="1"/>
        <v>1047000</v>
      </c>
      <c r="J21" s="1">
        <f t="shared" si="1"/>
        <v>1197000</v>
      </c>
      <c r="N21" s="28" t="s">
        <v>31</v>
      </c>
      <c r="O21" s="29"/>
      <c r="P21" s="30"/>
      <c r="Q21" s="14">
        <f>Q14/Q20</f>
        <v>40826.405943499682</v>
      </c>
    </row>
    <row r="22" spans="2:17" ht="18.75" thickBot="1">
      <c r="B22" s="2">
        <v>2</v>
      </c>
      <c r="C22" s="1">
        <f t="shared" ref="C22:C27" si="2">ROUND(($F$10*$F$11*C$20*$E$14*$F$15*$F$16*(1+1/(1+$B22))*$F$12)/1000,0)*1000</f>
        <v>346000</v>
      </c>
      <c r="D22" s="1">
        <f t="shared" si="1"/>
        <v>399000</v>
      </c>
      <c r="E22" s="1">
        <f t="shared" si="1"/>
        <v>479000</v>
      </c>
      <c r="F22" s="1">
        <f t="shared" si="1"/>
        <v>532000</v>
      </c>
      <c r="G22" s="1">
        <f t="shared" si="1"/>
        <v>612000</v>
      </c>
      <c r="H22" s="1">
        <f t="shared" si="1"/>
        <v>745000</v>
      </c>
      <c r="I22" s="1">
        <f t="shared" si="1"/>
        <v>931000</v>
      </c>
      <c r="J22" s="1">
        <f t="shared" si="1"/>
        <v>1064000</v>
      </c>
      <c r="N22" s="28" t="s">
        <v>32</v>
      </c>
      <c r="O22" s="29"/>
      <c r="P22" s="30"/>
      <c r="Q22" s="14">
        <f>ROUNDUP(Q21/1000,0)*1000</f>
        <v>41000</v>
      </c>
    </row>
    <row r="23" spans="2:17" ht="18.75" thickBot="1">
      <c r="B23" s="2">
        <v>3</v>
      </c>
      <c r="C23" s="1">
        <f t="shared" si="2"/>
        <v>324000</v>
      </c>
      <c r="D23" s="1">
        <f t="shared" si="1"/>
        <v>374000</v>
      </c>
      <c r="E23" s="1">
        <f t="shared" si="1"/>
        <v>449000</v>
      </c>
      <c r="F23" s="1">
        <f t="shared" si="1"/>
        <v>499000</v>
      </c>
      <c r="G23" s="1">
        <f t="shared" si="1"/>
        <v>574000</v>
      </c>
      <c r="H23" s="1">
        <f t="shared" si="1"/>
        <v>698000</v>
      </c>
      <c r="I23" s="1">
        <f t="shared" si="1"/>
        <v>873000</v>
      </c>
      <c r="J23" s="1">
        <f t="shared" si="1"/>
        <v>998000</v>
      </c>
      <c r="N23" s="7" t="s">
        <v>36</v>
      </c>
      <c r="O23" s="24">
        <f>$F$8</f>
        <v>0.8</v>
      </c>
      <c r="P23" s="12"/>
      <c r="Q23" s="14">
        <f>Q22/O23</f>
        <v>51250</v>
      </c>
    </row>
    <row r="24" spans="2:17" ht="18.75" thickBot="1">
      <c r="B24" s="2">
        <v>4</v>
      </c>
      <c r="C24" s="1">
        <f t="shared" si="2"/>
        <v>311000</v>
      </c>
      <c r="D24" s="1">
        <f t="shared" si="1"/>
        <v>359000</v>
      </c>
      <c r="E24" s="1">
        <f t="shared" si="1"/>
        <v>431000</v>
      </c>
      <c r="F24" s="1">
        <f t="shared" si="1"/>
        <v>479000</v>
      </c>
      <c r="G24" s="1">
        <f t="shared" si="1"/>
        <v>551000</v>
      </c>
      <c r="H24" s="1">
        <f t="shared" si="1"/>
        <v>670000</v>
      </c>
      <c r="I24" s="1">
        <f t="shared" si="1"/>
        <v>838000</v>
      </c>
      <c r="J24" s="1">
        <f t="shared" si="1"/>
        <v>958000</v>
      </c>
      <c r="N24" s="7" t="s">
        <v>37</v>
      </c>
      <c r="O24" s="25">
        <f>$F$9</f>
        <v>1.9500000000000002</v>
      </c>
      <c r="P24" s="12"/>
      <c r="Q24" s="14">
        <f>Q23*O24</f>
        <v>99937.500000000015</v>
      </c>
    </row>
    <row r="25" spans="2:17" ht="18.75" thickBot="1">
      <c r="B25" s="2">
        <v>5</v>
      </c>
      <c r="C25" s="1">
        <f t="shared" si="2"/>
        <v>303000</v>
      </c>
      <c r="D25" s="1">
        <f t="shared" si="1"/>
        <v>349000</v>
      </c>
      <c r="E25" s="1">
        <f t="shared" si="1"/>
        <v>419000</v>
      </c>
      <c r="F25" s="1">
        <f t="shared" si="1"/>
        <v>466000</v>
      </c>
      <c r="G25" s="1">
        <f t="shared" si="1"/>
        <v>535000</v>
      </c>
      <c r="H25" s="1">
        <f t="shared" si="1"/>
        <v>652000</v>
      </c>
      <c r="I25" s="1">
        <f t="shared" si="1"/>
        <v>815000</v>
      </c>
      <c r="J25" s="1">
        <f t="shared" si="1"/>
        <v>931000</v>
      </c>
      <c r="N25" s="28" t="s">
        <v>0</v>
      </c>
      <c r="O25" s="29"/>
      <c r="P25" s="30"/>
      <c r="Q25" s="14">
        <f>ROUNDUP(Q24/1000,0)*1000</f>
        <v>100000</v>
      </c>
    </row>
    <row r="26" spans="2:17" ht="18" thickBot="1">
      <c r="B26" s="2">
        <v>6</v>
      </c>
      <c r="C26" s="1">
        <f t="shared" si="2"/>
        <v>296000</v>
      </c>
      <c r="D26" s="1">
        <f t="shared" si="1"/>
        <v>342000</v>
      </c>
      <c r="E26" s="1">
        <f t="shared" si="1"/>
        <v>410000</v>
      </c>
      <c r="F26" s="1">
        <f t="shared" si="1"/>
        <v>456000</v>
      </c>
      <c r="G26" s="1">
        <f t="shared" si="1"/>
        <v>524000</v>
      </c>
      <c r="H26" s="1">
        <f t="shared" si="1"/>
        <v>638000</v>
      </c>
      <c r="I26" s="1">
        <f t="shared" si="1"/>
        <v>798000</v>
      </c>
      <c r="J26" s="1">
        <f t="shared" si="1"/>
        <v>912000</v>
      </c>
    </row>
    <row r="27" spans="2:17" ht="18" thickBot="1">
      <c r="B27" s="5">
        <v>7</v>
      </c>
      <c r="C27" s="1">
        <f t="shared" si="2"/>
        <v>292000</v>
      </c>
      <c r="D27" s="1">
        <f t="shared" si="1"/>
        <v>337000</v>
      </c>
      <c r="E27" s="1">
        <f t="shared" si="1"/>
        <v>404000</v>
      </c>
      <c r="F27" s="1">
        <f t="shared" si="1"/>
        <v>449000</v>
      </c>
      <c r="G27" s="1">
        <f t="shared" si="1"/>
        <v>516000</v>
      </c>
      <c r="H27" s="1">
        <f t="shared" si="1"/>
        <v>628000</v>
      </c>
      <c r="I27" s="1">
        <f t="shared" si="1"/>
        <v>786000</v>
      </c>
      <c r="J27" s="1">
        <f t="shared" si="1"/>
        <v>898000</v>
      </c>
    </row>
  </sheetData>
  <mergeCells count="34">
    <mergeCell ref="B3:L3"/>
    <mergeCell ref="B2:L2"/>
    <mergeCell ref="B6:D6"/>
    <mergeCell ref="G6:L6"/>
    <mergeCell ref="B5:D5"/>
    <mergeCell ref="G5:L5"/>
    <mergeCell ref="B4:D4"/>
    <mergeCell ref="G4:L4"/>
    <mergeCell ref="B9:D9"/>
    <mergeCell ref="G9:L9"/>
    <mergeCell ref="B8:D8"/>
    <mergeCell ref="G8:L8"/>
    <mergeCell ref="B7:D7"/>
    <mergeCell ref="G7:L7"/>
    <mergeCell ref="N4:Q4"/>
    <mergeCell ref="N20:P20"/>
    <mergeCell ref="N21:P21"/>
    <mergeCell ref="N22:P22"/>
    <mergeCell ref="N25:P25"/>
    <mergeCell ref="B10:D10"/>
    <mergeCell ref="B18:J18"/>
    <mergeCell ref="B13:D13"/>
    <mergeCell ref="B14:D14"/>
    <mergeCell ref="B12:D12"/>
    <mergeCell ref="B11:D11"/>
    <mergeCell ref="G10:L10"/>
    <mergeCell ref="G11:L11"/>
    <mergeCell ref="G12:L12"/>
    <mergeCell ref="G13:L13"/>
    <mergeCell ref="G14:L14"/>
    <mergeCell ref="B15:D15"/>
    <mergeCell ref="G15:L15"/>
    <mergeCell ref="B16:D16"/>
    <mergeCell ref="G16:L16"/>
  </mergeCells>
  <dataValidations count="4">
    <dataValidation type="list" allowBlank="1" showInputMessage="1" showErrorMessage="1" sqref="E11">
      <formula1>$S$5:$S$8</formula1>
    </dataValidation>
    <dataValidation type="list" allowBlank="1" showInputMessage="1" showErrorMessage="1" sqref="E13">
      <formula1>$S$12:$S$16</formula1>
    </dataValidation>
    <dataValidation type="list" allowBlank="1" showInputMessage="1" showErrorMessage="1" sqref="E15">
      <formula1>$V$6:$V$7</formula1>
    </dataValidation>
    <dataValidation type="list" allowBlank="1" showInputMessage="1" showErrorMessage="1" sqref="E16">
      <formula1>$V$10:$V$11</formula1>
    </dataValidation>
  </dataValidations>
  <pageMargins left="0.7" right="0.7" top="0.75" bottom="0.75" header="0.3" footer="0.3"/>
  <pageSetup paperSize="9" orientation="portrait" horizontalDpi="4294967293" verticalDpi="4294967293" r:id="rId1"/>
  <ignoredErrors>
    <ignoredError sqref="C20:E20 G20:J2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2013-01-30T18:45:31Z</dcterms:modified>
</cp:coreProperties>
</file>